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calcMode="autoNoTable" iterate="1" iterateCount="9999"/>
</workbook>
</file>

<file path=xl/calcChain.xml><?xml version="1.0" encoding="utf-8"?>
<calcChain xmlns="http://schemas.openxmlformats.org/spreadsheetml/2006/main">
  <c r="C69" i="1" l="1"/>
  <c r="F69" i="1" s="1"/>
  <c r="C68" i="1"/>
  <c r="G68" i="1" s="1"/>
  <c r="E67" i="1"/>
  <c r="D67" i="1"/>
  <c r="C67" i="1"/>
  <c r="C66" i="1"/>
  <c r="E65" i="1"/>
  <c r="D65" i="1"/>
  <c r="C65" i="1"/>
  <c r="C64" i="1"/>
  <c r="F64" i="1" s="1"/>
  <c r="E63" i="1"/>
  <c r="C63" i="1"/>
  <c r="C62" i="1"/>
  <c r="C61" i="1"/>
  <c r="C60" i="1"/>
  <c r="F59" i="1"/>
  <c r="C59" i="1"/>
  <c r="F58" i="1"/>
  <c r="C58" i="1"/>
  <c r="F57" i="1"/>
  <c r="C57" i="1"/>
  <c r="C56" i="1"/>
  <c r="F56" i="1" s="1"/>
  <c r="C55" i="1"/>
  <c r="F55" i="1" s="1"/>
  <c r="D54" i="1"/>
  <c r="C53" i="1"/>
  <c r="F53" i="1" s="1"/>
  <c r="C52" i="1"/>
  <c r="F52" i="1" s="1"/>
  <c r="C51" i="1"/>
  <c r="G51" i="1" s="1"/>
  <c r="G50" i="1"/>
  <c r="C50" i="1"/>
  <c r="C49" i="1"/>
  <c r="F49" i="1" s="1"/>
  <c r="C48" i="1"/>
  <c r="G48" i="1" s="1"/>
  <c r="C47" i="1"/>
  <c r="G47" i="1" s="1"/>
  <c r="C46" i="1"/>
  <c r="F46" i="1" s="1"/>
  <c r="C45" i="1"/>
  <c r="F45" i="1" s="1"/>
  <c r="C44" i="1"/>
  <c r="G44" i="1" s="1"/>
  <c r="F43" i="1"/>
  <c r="C43" i="1"/>
  <c r="C42" i="1"/>
  <c r="G42" i="1" s="1"/>
  <c r="C41" i="1"/>
  <c r="G41" i="1" s="1"/>
  <c r="C40" i="1"/>
  <c r="G40" i="1" s="1"/>
  <c r="C39" i="1"/>
  <c r="G39" i="1" s="1"/>
  <c r="C38" i="1"/>
  <c r="F38" i="1" s="1"/>
  <c r="C37" i="1"/>
  <c r="G37" i="1" s="1"/>
  <c r="C36" i="1"/>
  <c r="G36" i="1" s="1"/>
  <c r="C35" i="1"/>
  <c r="C34" i="1"/>
  <c r="E33" i="1"/>
  <c r="D33" i="1"/>
  <c r="G32" i="1"/>
  <c r="C31" i="1"/>
  <c r="G31" i="1" s="1"/>
  <c r="C30" i="1"/>
  <c r="F30" i="1" s="1"/>
  <c r="C29" i="1"/>
  <c r="C28" i="1"/>
  <c r="F28" i="1" s="1"/>
  <c r="C27" i="1"/>
  <c r="F27" i="1" s="1"/>
  <c r="C26" i="1"/>
  <c r="G26" i="1" s="1"/>
  <c r="C25" i="1"/>
  <c r="G25" i="1" s="1"/>
  <c r="G24" i="1"/>
  <c r="F23" i="1"/>
  <c r="G22" i="1"/>
  <c r="C22" i="1"/>
  <c r="C21" i="1"/>
  <c r="G21" i="1" s="1"/>
  <c r="C20" i="1"/>
  <c r="G20" i="1" s="1"/>
  <c r="C19" i="1"/>
  <c r="F19" i="1" s="1"/>
  <c r="C18" i="1"/>
  <c r="F18" i="1" s="1"/>
  <c r="C17" i="1"/>
  <c r="G17" i="1" s="1"/>
  <c r="C16" i="1"/>
  <c r="F16" i="1" s="1"/>
  <c r="C15" i="1"/>
  <c r="G15" i="1" s="1"/>
  <c r="C14" i="1"/>
  <c r="G14" i="1" s="1"/>
  <c r="C13" i="1"/>
  <c r="G13" i="1" s="1"/>
  <c r="G12" i="1"/>
  <c r="C11" i="1"/>
  <c r="G11" i="1" s="1"/>
  <c r="C10" i="1"/>
  <c r="G10" i="1" s="1"/>
  <c r="C9" i="1"/>
  <c r="F9" i="1" s="1"/>
  <c r="F8" i="1"/>
  <c r="F7" i="1" s="1"/>
  <c r="E7" i="1"/>
  <c r="D7" i="1"/>
  <c r="D6" i="1" s="1"/>
  <c r="H6" i="1"/>
  <c r="C7" i="1" l="1"/>
  <c r="F65" i="1"/>
  <c r="F67" i="1"/>
  <c r="G29" i="1"/>
  <c r="G7" i="1" s="1"/>
  <c r="C33" i="1"/>
  <c r="F34" i="1"/>
  <c r="F33" i="1" s="1"/>
  <c r="G35" i="1"/>
  <c r="G33" i="1" s="1"/>
  <c r="C54" i="1"/>
  <c r="E54" i="1"/>
  <c r="E6" i="1" s="1"/>
  <c r="G60" i="1"/>
  <c r="F61" i="1"/>
  <c r="G62" i="1"/>
  <c r="F63" i="1"/>
  <c r="F66" i="1"/>
  <c r="F54" i="1" l="1"/>
  <c r="C6" i="1"/>
  <c r="F6" i="1"/>
  <c r="G54" i="1"/>
  <c r="G6" i="1" s="1"/>
</calcChain>
</file>

<file path=xl/sharedStrings.xml><?xml version="1.0" encoding="utf-8"?>
<sst xmlns="http://schemas.openxmlformats.org/spreadsheetml/2006/main" count="79" uniqueCount="79">
  <si>
    <t>CÂN ĐỐI QUỸ LƯƠNG NĂM 2020</t>
  </si>
  <si>
    <t>(Kèm theo Quyết định số 219 /QĐ-PGD&amp;ĐT ngày08 tháng 12 năm 2020 của Phòng Giáo dục và Đào tạo huyện Phong Điền)</t>
  </si>
  <si>
    <t>ĐVT: đồng</t>
  </si>
  <si>
    <t>STT</t>
  </si>
  <si>
    <t>Tên đơn vị</t>
  </si>
  <si>
    <t>Nhu cầu năm 2020</t>
  </si>
  <si>
    <t>Dự toán giao đầu năm theo 3456 /QĐ-UBND ngày 18/12/2019 về việc giao dự toán ngân sách nhà nước huyện năm 2020</t>
  </si>
  <si>
    <t>Năm trước chuyển nguồn sang</t>
  </si>
  <si>
    <t>Cân đối thừa thiếu</t>
  </si>
  <si>
    <t>Ghi chú</t>
  </si>
  <si>
    <t>Thừa</t>
  </si>
  <si>
    <t>Thiếu</t>
  </si>
  <si>
    <t>TỔNG CỘNG</t>
  </si>
  <si>
    <t>I</t>
  </si>
  <si>
    <t xml:space="preserve">MẦM NON </t>
  </si>
  <si>
    <t>MN Phong Mỹ 1</t>
  </si>
  <si>
    <t>MN Phong Mỹ 2</t>
  </si>
  <si>
    <t>MN Phong Xuân 1</t>
  </si>
  <si>
    <t>MN Phong Xuân 2</t>
  </si>
  <si>
    <t>MN Phong Sơn 1</t>
  </si>
  <si>
    <t>MN Phong Sơn 2</t>
  </si>
  <si>
    <t>MN Phong An 1</t>
  </si>
  <si>
    <t>MN Phong An 2</t>
  </si>
  <si>
    <t>MN Phong Hiền 1</t>
  </si>
  <si>
    <t>MN Phong Hiền 2</t>
  </si>
  <si>
    <t>Mầm non Hoa Sen</t>
  </si>
  <si>
    <t>MN Hoa Hướng Dương</t>
  </si>
  <si>
    <t>MN Phong Thu</t>
  </si>
  <si>
    <t>MN Phong Hoà 1</t>
  </si>
  <si>
    <t>MN Phong Hoà 2</t>
  </si>
  <si>
    <t>MN Phong Bình 1</t>
  </si>
  <si>
    <t>MN Phong Bình 2</t>
  </si>
  <si>
    <t>MN Phong Chương 1</t>
  </si>
  <si>
    <t>MN Phong Chương 2</t>
  </si>
  <si>
    <t>MN Điền Hương</t>
  </si>
  <si>
    <t>MN Điền Môn</t>
  </si>
  <si>
    <t>MN Điền Lộc</t>
  </si>
  <si>
    <t>MN Điền Hoà</t>
  </si>
  <si>
    <t>MN Điền Hải</t>
  </si>
  <si>
    <t>MN Phong Hải</t>
  </si>
  <si>
    <t>II</t>
  </si>
  <si>
    <t>TIỂU HỌC</t>
  </si>
  <si>
    <t>TH Tân Mỹ</t>
  </si>
  <si>
    <t>TH Hòa Mỹ</t>
  </si>
  <si>
    <t>TH Phong Xuân</t>
  </si>
  <si>
    <t>TH Tây Bắc Sơn</t>
  </si>
  <si>
    <t>TH Đông Nam Sơn</t>
  </si>
  <si>
    <t>TH Phò Ninh</t>
  </si>
  <si>
    <t>TH Điền An</t>
  </si>
  <si>
    <t>TH Hương Lâm</t>
  </si>
  <si>
    <t>TH Tây Bắc  Hiền</t>
  </si>
  <si>
    <t>TH Đông Hiền</t>
  </si>
  <si>
    <t>TH Trần Quốc Toản</t>
  </si>
  <si>
    <t xml:space="preserve">TH Phong Chương </t>
  </si>
  <si>
    <t>TH Phước Mỹ</t>
  </si>
  <si>
    <t>TH Trạch Phổ</t>
  </si>
  <si>
    <t>TH Ưu Điềm</t>
  </si>
  <si>
    <t>TH Phong Bình</t>
  </si>
  <si>
    <t>TH Điền Hương</t>
  </si>
  <si>
    <t>TH Điền Lộc</t>
  </si>
  <si>
    <t>TH Điền Hải</t>
  </si>
  <si>
    <t>TH Phong Hải</t>
  </si>
  <si>
    <t>III</t>
  </si>
  <si>
    <t>TRUNG HỌC CƠ SỞ</t>
  </si>
  <si>
    <t>THCS Phong Mỹ</t>
  </si>
  <si>
    <t>THCS Phong xuân</t>
  </si>
  <si>
    <t>THCS Phong Sơn</t>
  </si>
  <si>
    <t>THCS Phong An</t>
  </si>
  <si>
    <t>THCS Phong Hiền</t>
  </si>
  <si>
    <t>THCS Nguyễn Duy</t>
  </si>
  <si>
    <t>TH và THCS Lê Văn Miến</t>
  </si>
  <si>
    <t>THCS Phong Hòa</t>
  </si>
  <si>
    <t>THCS Phong Bình</t>
  </si>
  <si>
    <t>THCS Nguyễn Tri Phương</t>
  </si>
  <si>
    <t>TH và THCS Nguyễn Lộ Trạch</t>
  </si>
  <si>
    <t>THCS Điền Lộc</t>
  </si>
  <si>
    <t>TH và THCS Điền Hòa</t>
  </si>
  <si>
    <t>THCS Điền Hải</t>
  </si>
  <si>
    <t>THCS Phong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</si>
</sst>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"/>
    <numFmt numFmtId="165" formatCode="#,##0;[Red]#,##0"/>
    <numFmt numFmtId="166" formatCode="_(* #,##0_);_(* \(#,##0\);_(* &quot;-&quot;??_);_(@_)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3" fontId="3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/>
    <xf numFmtId="3" fontId="6" fillId="2" borderId="0" xfId="0" applyNumberFormat="1" applyFont="1" applyFill="1" applyBorder="1"/>
    <xf numFmtId="1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vertical="center" wrapText="1"/>
    </xf>
    <xf numFmtId="166" fontId="7" fillId="2" borderId="1" xfId="1" applyNumberFormat="1" applyFont="1" applyFill="1" applyBorder="1"/>
    <xf numFmtId="3" fontId="7" fillId="2" borderId="0" xfId="0" applyNumberFormat="1" applyFont="1" applyFill="1" applyBorder="1"/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/>
    <xf numFmtId="3" fontId="8" fillId="2" borderId="0" xfId="0" applyNumberFormat="1" applyFont="1" applyFill="1" applyBorder="1"/>
    <xf numFmtId="3" fontId="7" fillId="2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/>
    <xf numFmtId="3" fontId="7" fillId="2" borderId="1" xfId="0" applyNumberFormat="1" applyFont="1" applyFill="1" applyBorder="1"/>
    <xf numFmtId="167" fontId="7" fillId="2" borderId="1" xfId="0" applyNumberFormat="1" applyFont="1" applyFill="1" applyBorder="1" applyAlignment="1"/>
    <xf numFmtId="3" fontId="7" fillId="2" borderId="1" xfId="0" applyNumberFormat="1" applyFont="1" applyFill="1" applyBorder="1" applyAlignment="1"/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/>
    <xf numFmtId="165" fontId="7" fillId="2" borderId="1" xfId="0" applyNumberFormat="1" applyFont="1" applyFill="1" applyBorder="1" applyAlignment="1">
      <alignment vertical="center"/>
    </xf>
    <xf numFmtId="3" fontId="2" fillId="2" borderId="0" xfId="0" applyNumberFormat="1" applyFont="1" applyFill="1" applyBorder="1"/>
    <xf numFmtId="3" fontId="3" fillId="2" borderId="0" xfId="0" applyNumberFormat="1" applyFont="1" applyFill="1" applyBorder="1" applyAlignment="1"/>
    <xf numFmtId="3" fontId="6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64" workbookViewId="0">
      <selection activeCell="E72" sqref="E72"/>
    </sheetView>
  </sheetViews>
  <sheetFormatPr defaultRowHeight="15.75" x14ac:dyDescent="0.25"/>
  <cols>
    <col min="1" max="1" width="5.28515625" style="1" customWidth="1"/>
    <col min="2" max="2" width="20.7109375" style="1" customWidth="1"/>
    <col min="3" max="6" width="18" style="1" customWidth="1"/>
    <col min="7" max="7" width="18" style="34" customWidth="1"/>
    <col min="8" max="8" width="9.140625" style="34"/>
    <col min="9" max="16384" width="9.140625" style="1"/>
  </cols>
  <sheetData>
    <row r="1" spans="1:8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s="3" customFormat="1" ht="16.5" x14ac:dyDescent="0.25">
      <c r="A2" s="37" t="s">
        <v>1</v>
      </c>
      <c r="B2" s="37"/>
      <c r="C2" s="37"/>
      <c r="D2" s="37"/>
      <c r="E2" s="37"/>
      <c r="F2" s="37"/>
      <c r="G2" s="37"/>
      <c r="H2" s="37"/>
    </row>
    <row r="3" spans="1:8" s="3" customFormat="1" ht="16.5" x14ac:dyDescent="0.25">
      <c r="A3" s="4"/>
      <c r="B3" s="4"/>
      <c r="C3" s="4"/>
      <c r="D3" s="4"/>
      <c r="E3" s="4"/>
      <c r="F3" s="4"/>
      <c r="G3" s="4" t="s">
        <v>2</v>
      </c>
      <c r="H3" s="4"/>
    </row>
    <row r="4" spans="1:8" s="3" customFormat="1" ht="39" customHeight="1" x14ac:dyDescent="0.25">
      <c r="A4" s="38" t="s">
        <v>3</v>
      </c>
      <c r="B4" s="38" t="s">
        <v>4</v>
      </c>
      <c r="C4" s="38" t="s">
        <v>5</v>
      </c>
      <c r="D4" s="39" t="s">
        <v>6</v>
      </c>
      <c r="E4" s="38" t="s">
        <v>7</v>
      </c>
      <c r="F4" s="38" t="s">
        <v>8</v>
      </c>
      <c r="G4" s="38"/>
      <c r="H4" s="38" t="s">
        <v>9</v>
      </c>
    </row>
    <row r="5" spans="1:8" s="2" customFormat="1" ht="39" customHeight="1" x14ac:dyDescent="0.25">
      <c r="A5" s="38"/>
      <c r="B5" s="38"/>
      <c r="C5" s="38"/>
      <c r="D5" s="39"/>
      <c r="E5" s="38"/>
      <c r="F5" s="5" t="s">
        <v>10</v>
      </c>
      <c r="G5" s="5" t="s">
        <v>11</v>
      </c>
      <c r="H5" s="38"/>
    </row>
    <row r="6" spans="1:8" s="8" customFormat="1" ht="32.25" customHeight="1" x14ac:dyDescent="0.2">
      <c r="A6" s="35" t="s">
        <v>12</v>
      </c>
      <c r="B6" s="35"/>
      <c r="C6" s="6">
        <f>C7+C33+C54</f>
        <v>188474016000</v>
      </c>
      <c r="D6" s="6">
        <f>D7+D33+D54</f>
        <v>183678000000</v>
      </c>
      <c r="E6" s="6">
        <f>E7+E33+E54</f>
        <v>4796892718</v>
      </c>
      <c r="F6" s="6">
        <f>F7+F33+F54</f>
        <v>3392000000</v>
      </c>
      <c r="G6" s="6">
        <f>G7+G33+G54</f>
        <v>3392000000</v>
      </c>
      <c r="H6" s="7">
        <f>H7+H33+H58</f>
        <v>0</v>
      </c>
    </row>
    <row r="7" spans="1:8" s="11" customFormat="1" ht="15" x14ac:dyDescent="0.2">
      <c r="A7" s="9" t="s">
        <v>13</v>
      </c>
      <c r="B7" s="10" t="s">
        <v>14</v>
      </c>
      <c r="C7" s="6">
        <f>SUM(C8:C32)</f>
        <v>53618966000</v>
      </c>
      <c r="D7" s="6">
        <f>SUM(D8:D32)</f>
        <v>51003000000</v>
      </c>
      <c r="E7" s="6">
        <f>SUM(E8:E32)</f>
        <v>1530594146</v>
      </c>
      <c r="F7" s="6">
        <f>SUM(F8:F32)</f>
        <v>1067000000</v>
      </c>
      <c r="G7" s="6">
        <f>SUM(G8:G32)</f>
        <v>2152000000</v>
      </c>
      <c r="H7" s="7"/>
    </row>
    <row r="8" spans="1:8" s="11" customFormat="1" ht="15" x14ac:dyDescent="0.25">
      <c r="A8" s="12">
        <v>1</v>
      </c>
      <c r="B8" s="13" t="s">
        <v>15</v>
      </c>
      <c r="C8" s="14">
        <v>2285000000</v>
      </c>
      <c r="D8" s="14">
        <v>2444000000</v>
      </c>
      <c r="E8" s="14">
        <v>164411972</v>
      </c>
      <c r="F8" s="14">
        <f>ROUND((D8+E8-C8),-6)</f>
        <v>323000000</v>
      </c>
      <c r="G8" s="15"/>
      <c r="H8" s="15"/>
    </row>
    <row r="9" spans="1:8" s="11" customFormat="1" ht="15" x14ac:dyDescent="0.25">
      <c r="A9" s="12">
        <v>2</v>
      </c>
      <c r="B9" s="13" t="s">
        <v>16</v>
      </c>
      <c r="C9" s="14">
        <f>1770000000+26500000</f>
        <v>1796500000</v>
      </c>
      <c r="D9" s="14">
        <v>2069000000</v>
      </c>
      <c r="E9" s="14">
        <v>49068846</v>
      </c>
      <c r="F9" s="14">
        <f>ROUND((D9+E9-C9),-6)</f>
        <v>322000000</v>
      </c>
      <c r="G9" s="15"/>
      <c r="H9" s="15"/>
    </row>
    <row r="10" spans="1:8" s="11" customFormat="1" ht="15" x14ac:dyDescent="0.25">
      <c r="A10" s="12">
        <v>3</v>
      </c>
      <c r="B10" s="13" t="s">
        <v>17</v>
      </c>
      <c r="C10" s="14">
        <f>2731000000+43430000</f>
        <v>2774430000</v>
      </c>
      <c r="D10" s="14">
        <v>2541000000</v>
      </c>
      <c r="E10" s="14">
        <v>55983796</v>
      </c>
      <c r="F10" s="14"/>
      <c r="G10" s="15">
        <f t="shared" ref="G10:G15" si="0">ROUND((C10-D10-E10),-6)</f>
        <v>177000000</v>
      </c>
      <c r="H10" s="15"/>
    </row>
    <row r="11" spans="1:8" s="11" customFormat="1" ht="15" x14ac:dyDescent="0.25">
      <c r="A11" s="12">
        <v>4</v>
      </c>
      <c r="B11" s="13" t="s">
        <v>18</v>
      </c>
      <c r="C11" s="14">
        <f>1634000000-30000000+16000000</f>
        <v>1620000000</v>
      </c>
      <c r="D11" s="14">
        <v>1509000000</v>
      </c>
      <c r="E11" s="14">
        <v>95035812</v>
      </c>
      <c r="F11" s="14"/>
      <c r="G11" s="15">
        <f t="shared" si="0"/>
        <v>16000000</v>
      </c>
      <c r="H11" s="15"/>
    </row>
    <row r="12" spans="1:8" s="11" customFormat="1" ht="15" x14ac:dyDescent="0.25">
      <c r="A12" s="12">
        <v>5</v>
      </c>
      <c r="B12" s="13" t="s">
        <v>19</v>
      </c>
      <c r="C12" s="14">
        <v>1917000000</v>
      </c>
      <c r="D12" s="14">
        <v>1717000000</v>
      </c>
      <c r="E12" s="14">
        <v>57184586</v>
      </c>
      <c r="F12" s="14"/>
      <c r="G12" s="15">
        <f t="shared" si="0"/>
        <v>143000000</v>
      </c>
      <c r="H12" s="15"/>
    </row>
    <row r="13" spans="1:8" s="11" customFormat="1" ht="15" x14ac:dyDescent="0.25">
      <c r="A13" s="12">
        <v>6</v>
      </c>
      <c r="B13" s="13" t="s">
        <v>20</v>
      </c>
      <c r="C13" s="14">
        <f>2363000000+8300000</f>
        <v>2371300000</v>
      </c>
      <c r="D13" s="14">
        <v>1992000000</v>
      </c>
      <c r="E13" s="14">
        <v>80830444</v>
      </c>
      <c r="F13" s="14"/>
      <c r="G13" s="15">
        <f t="shared" si="0"/>
        <v>298000000</v>
      </c>
      <c r="H13" s="15"/>
    </row>
    <row r="14" spans="1:8" s="17" customFormat="1" ht="15" x14ac:dyDescent="0.25">
      <c r="A14" s="12">
        <v>7</v>
      </c>
      <c r="B14" s="13" t="s">
        <v>21</v>
      </c>
      <c r="C14" s="14">
        <f>2807000000+8400000</f>
        <v>2815400000</v>
      </c>
      <c r="D14" s="14">
        <v>2564000000</v>
      </c>
      <c r="E14" s="16">
        <v>78234121</v>
      </c>
      <c r="F14" s="14"/>
      <c r="G14" s="15">
        <f t="shared" si="0"/>
        <v>173000000</v>
      </c>
      <c r="H14" s="15"/>
    </row>
    <row r="15" spans="1:8" s="23" customFormat="1" ht="15" x14ac:dyDescent="0.25">
      <c r="A15" s="18">
        <v>8</v>
      </c>
      <c r="B15" s="19" t="s">
        <v>22</v>
      </c>
      <c r="C15" s="20">
        <f>2548000000-5000000+13600000+5000000</f>
        <v>2561600000</v>
      </c>
      <c r="D15" s="20">
        <v>2188000000</v>
      </c>
      <c r="E15" s="20">
        <v>40505510</v>
      </c>
      <c r="F15" s="20"/>
      <c r="G15" s="21">
        <f t="shared" si="0"/>
        <v>333000000</v>
      </c>
      <c r="H15" s="22"/>
    </row>
    <row r="16" spans="1:8" s="17" customFormat="1" ht="15" x14ac:dyDescent="0.25">
      <c r="A16" s="12">
        <v>9</v>
      </c>
      <c r="B16" s="13" t="s">
        <v>23</v>
      </c>
      <c r="C16" s="14">
        <f>2925000000+18846000+36200000</f>
        <v>2980046000</v>
      </c>
      <c r="D16" s="14">
        <v>2998000000</v>
      </c>
      <c r="E16" s="14"/>
      <c r="F16" s="14">
        <f>ROUND((D16+E16-C16),-6)</f>
        <v>18000000</v>
      </c>
      <c r="G16" s="15"/>
      <c r="H16" s="15"/>
    </row>
    <row r="17" spans="1:9" s="17" customFormat="1" ht="15" x14ac:dyDescent="0.25">
      <c r="A17" s="12">
        <v>10</v>
      </c>
      <c r="B17" s="13" t="s">
        <v>24</v>
      </c>
      <c r="C17" s="14">
        <f>2024000000</f>
        <v>2024000000</v>
      </c>
      <c r="D17" s="14">
        <v>1856000000</v>
      </c>
      <c r="E17" s="14">
        <v>67712309</v>
      </c>
      <c r="F17" s="14"/>
      <c r="G17" s="15">
        <f>ROUND((C17-D17-E17),-6)</f>
        <v>100000000</v>
      </c>
      <c r="H17" s="15"/>
      <c r="I17" s="11"/>
    </row>
    <row r="18" spans="1:9" s="17" customFormat="1" ht="15" x14ac:dyDescent="0.25">
      <c r="A18" s="12">
        <v>11</v>
      </c>
      <c r="B18" s="13" t="s">
        <v>25</v>
      </c>
      <c r="C18" s="14">
        <f>2734000000+15500000</f>
        <v>2749500000</v>
      </c>
      <c r="D18" s="14">
        <v>2870000000</v>
      </c>
      <c r="E18" s="14">
        <v>113249216</v>
      </c>
      <c r="F18" s="14">
        <f>ROUND((D18+E18-C18),-6)</f>
        <v>234000000</v>
      </c>
      <c r="G18" s="15"/>
      <c r="H18" s="15"/>
    </row>
    <row r="19" spans="1:9" s="17" customFormat="1" ht="30" x14ac:dyDescent="0.25">
      <c r="A19" s="12">
        <v>12</v>
      </c>
      <c r="B19" s="13" t="s">
        <v>26</v>
      </c>
      <c r="C19" s="14">
        <f>3035690000+19000000</f>
        <v>3054690000</v>
      </c>
      <c r="D19" s="14">
        <v>2907000000</v>
      </c>
      <c r="E19" s="14">
        <v>154000000</v>
      </c>
      <c r="F19" s="14">
        <f>ROUND((D19+E19-C19),-6)</f>
        <v>6000000</v>
      </c>
      <c r="G19" s="15"/>
      <c r="H19" s="15"/>
    </row>
    <row r="20" spans="1:9" s="17" customFormat="1" ht="15" x14ac:dyDescent="0.25">
      <c r="A20" s="12">
        <v>13</v>
      </c>
      <c r="B20" s="13" t="s">
        <v>27</v>
      </c>
      <c r="C20" s="14">
        <f>2521000000+20700000</f>
        <v>2541700000</v>
      </c>
      <c r="D20" s="14">
        <v>2476000000</v>
      </c>
      <c r="E20" s="14">
        <v>45110883</v>
      </c>
      <c r="F20" s="14"/>
      <c r="G20" s="15">
        <f>ROUND((C20-D20-E20),-6)</f>
        <v>21000000</v>
      </c>
      <c r="H20" s="15"/>
    </row>
    <row r="21" spans="1:9" s="17" customFormat="1" ht="15" x14ac:dyDescent="0.25">
      <c r="A21" s="12">
        <v>14</v>
      </c>
      <c r="B21" s="13" t="s">
        <v>28</v>
      </c>
      <c r="C21" s="14">
        <f>1922000000+25900000</f>
        <v>1947900000</v>
      </c>
      <c r="D21" s="14">
        <v>1697000000</v>
      </c>
      <c r="E21" s="14">
        <v>138878714</v>
      </c>
      <c r="F21" s="14"/>
      <c r="G21" s="15">
        <f>ROUND((C21-D21-E21),-6)</f>
        <v>112000000</v>
      </c>
      <c r="H21" s="15"/>
    </row>
    <row r="22" spans="1:9" s="17" customFormat="1" ht="15" x14ac:dyDescent="0.25">
      <c r="A22" s="12">
        <v>15</v>
      </c>
      <c r="B22" s="13" t="s">
        <v>29</v>
      </c>
      <c r="C22" s="14">
        <f>1359000000+25000000</f>
        <v>1384000000</v>
      </c>
      <c r="D22" s="14">
        <v>1177000000</v>
      </c>
      <c r="E22" s="14"/>
      <c r="F22" s="14"/>
      <c r="G22" s="15">
        <f>ROUND((C22-D22-E22),-6)</f>
        <v>207000000</v>
      </c>
      <c r="H22" s="15"/>
    </row>
    <row r="23" spans="1:9" s="17" customFormat="1" ht="15" x14ac:dyDescent="0.25">
      <c r="A23" s="12">
        <v>16</v>
      </c>
      <c r="B23" s="13" t="s">
        <v>30</v>
      </c>
      <c r="C23" s="14">
        <v>2176000000</v>
      </c>
      <c r="D23" s="14">
        <v>2176000000</v>
      </c>
      <c r="E23" s="14">
        <v>47038120</v>
      </c>
      <c r="F23" s="14">
        <f>ROUND((D23+E23-C23),-6)</f>
        <v>47000000</v>
      </c>
      <c r="G23" s="15"/>
      <c r="H23" s="15"/>
    </row>
    <row r="24" spans="1:9" s="17" customFormat="1" ht="15" x14ac:dyDescent="0.25">
      <c r="A24" s="12">
        <v>17</v>
      </c>
      <c r="B24" s="13" t="s">
        <v>31</v>
      </c>
      <c r="C24" s="14">
        <v>1348000000</v>
      </c>
      <c r="D24" s="14">
        <v>1213000000</v>
      </c>
      <c r="E24" s="24"/>
      <c r="F24" s="14"/>
      <c r="G24" s="15">
        <f>ROUND((C24-D24-E24),-6)</f>
        <v>135000000</v>
      </c>
      <c r="H24" s="15"/>
    </row>
    <row r="25" spans="1:9" s="17" customFormat="1" ht="15" x14ac:dyDescent="0.25">
      <c r="A25" s="12">
        <v>18</v>
      </c>
      <c r="B25" s="13" t="s">
        <v>32</v>
      </c>
      <c r="C25" s="14">
        <f>2419000000+31200000</f>
        <v>2450200000</v>
      </c>
      <c r="D25" s="14">
        <v>2028000000</v>
      </c>
      <c r="E25" s="14">
        <v>14488695</v>
      </c>
      <c r="F25" s="14"/>
      <c r="G25" s="15">
        <f>ROUND((C25-D25-E25),-6)</f>
        <v>408000000</v>
      </c>
      <c r="H25" s="15"/>
    </row>
    <row r="26" spans="1:9" s="23" customFormat="1" ht="15" x14ac:dyDescent="0.25">
      <c r="A26" s="18">
        <v>19</v>
      </c>
      <c r="B26" s="19" t="s">
        <v>33</v>
      </c>
      <c r="C26" s="20">
        <f>1599000000+23000000</f>
        <v>1622000000</v>
      </c>
      <c r="D26" s="20">
        <v>1521000000</v>
      </c>
      <c r="E26" s="25">
        <v>90281330</v>
      </c>
      <c r="F26" s="14"/>
      <c r="G26" s="15">
        <f>ROUND((C26-D26-E26),-6)</f>
        <v>11000000</v>
      </c>
      <c r="H26" s="22"/>
    </row>
    <row r="27" spans="1:9" s="17" customFormat="1" ht="15" x14ac:dyDescent="0.25">
      <c r="A27" s="12">
        <v>20</v>
      </c>
      <c r="B27" s="13" t="s">
        <v>34</v>
      </c>
      <c r="C27" s="14">
        <f>1535000000-15000000</f>
        <v>1520000000</v>
      </c>
      <c r="D27" s="14">
        <v>1521000000</v>
      </c>
      <c r="E27" s="26">
        <v>23815090</v>
      </c>
      <c r="F27" s="14">
        <f>ROUND((D27+E27-C27),-6)</f>
        <v>25000000</v>
      </c>
      <c r="G27" s="15"/>
      <c r="H27" s="27"/>
    </row>
    <row r="28" spans="1:9" s="17" customFormat="1" ht="15" x14ac:dyDescent="0.25">
      <c r="A28" s="12">
        <v>21</v>
      </c>
      <c r="B28" s="13" t="s">
        <v>35</v>
      </c>
      <c r="C28" s="14">
        <f>1330000000+12000000</f>
        <v>1342000000</v>
      </c>
      <c r="D28" s="14">
        <v>1362000000</v>
      </c>
      <c r="E28" s="26">
        <v>70672964</v>
      </c>
      <c r="F28" s="14">
        <f>ROUND((D28+E28-C28),-6)</f>
        <v>91000000</v>
      </c>
      <c r="G28" s="15"/>
      <c r="H28" s="28"/>
    </row>
    <row r="29" spans="1:9" s="17" customFormat="1" ht="15" x14ac:dyDescent="0.25">
      <c r="A29" s="12">
        <v>22</v>
      </c>
      <c r="B29" s="13" t="s">
        <v>36</v>
      </c>
      <c r="C29" s="14">
        <f>1875000000+5500000</f>
        <v>1880500000</v>
      </c>
      <c r="D29" s="14">
        <v>1829000000</v>
      </c>
      <c r="E29" s="26">
        <v>47426927</v>
      </c>
      <c r="F29" s="14"/>
      <c r="G29" s="15">
        <f>ROUND((C29-D29-E29),-6)</f>
        <v>4000000</v>
      </c>
      <c r="H29" s="28"/>
    </row>
    <row r="30" spans="1:9" s="17" customFormat="1" ht="15" x14ac:dyDescent="0.25">
      <c r="A30" s="12">
        <v>23</v>
      </c>
      <c r="B30" s="13" t="s">
        <v>37</v>
      </c>
      <c r="C30" s="14">
        <f>2030000000+12200000</f>
        <v>2042200000</v>
      </c>
      <c r="D30" s="14">
        <v>1998000000</v>
      </c>
      <c r="E30" s="26">
        <v>45474526</v>
      </c>
      <c r="F30" s="14">
        <f>ROUND((D30+E30-C30),-6)</f>
        <v>1000000</v>
      </c>
      <c r="G30" s="15"/>
      <c r="H30" s="28"/>
    </row>
    <row r="31" spans="1:9" s="23" customFormat="1" ht="15" x14ac:dyDescent="0.25">
      <c r="A31" s="18">
        <v>24</v>
      </c>
      <c r="B31" s="19" t="s">
        <v>38</v>
      </c>
      <c r="C31" s="20">
        <f>2474000000-36000000</f>
        <v>2438000000</v>
      </c>
      <c r="D31" s="20">
        <v>2416000000</v>
      </c>
      <c r="E31" s="25">
        <v>21797825</v>
      </c>
      <c r="F31" s="20"/>
      <c r="G31" s="21">
        <f>ROUND((C31-D31-E31),-6)</f>
        <v>0</v>
      </c>
      <c r="H31" s="22"/>
    </row>
    <row r="32" spans="1:9" s="17" customFormat="1" ht="15" x14ac:dyDescent="0.25">
      <c r="A32" s="12">
        <v>25</v>
      </c>
      <c r="B32" s="13" t="s">
        <v>39</v>
      </c>
      <c r="C32" s="14">
        <v>1977000000</v>
      </c>
      <c r="D32" s="14">
        <v>1934000000</v>
      </c>
      <c r="E32" s="26">
        <v>29392460</v>
      </c>
      <c r="F32" s="14"/>
      <c r="G32" s="15">
        <f>ROUND((C32-D32-E32),-6)</f>
        <v>14000000</v>
      </c>
      <c r="H32" s="28"/>
    </row>
    <row r="33" spans="1:8" s="8" customFormat="1" ht="14.25" x14ac:dyDescent="0.2">
      <c r="A33" s="29" t="s">
        <v>40</v>
      </c>
      <c r="B33" s="30" t="s">
        <v>41</v>
      </c>
      <c r="C33" s="31">
        <f>SUM(C34:C53)</f>
        <v>67319950000</v>
      </c>
      <c r="D33" s="31">
        <f>SUM(D34:D53)</f>
        <v>65555000000</v>
      </c>
      <c r="E33" s="31">
        <f>SUM(E34:E53)</f>
        <v>1694483760</v>
      </c>
      <c r="F33" s="31">
        <f>SUM(F34:F53)</f>
        <v>1005000000</v>
      </c>
      <c r="G33" s="31">
        <f>SUM(G34:G53)</f>
        <v>1077000000</v>
      </c>
      <c r="H33" s="7"/>
    </row>
    <row r="34" spans="1:8" s="17" customFormat="1" ht="15" x14ac:dyDescent="0.25">
      <c r="A34" s="12">
        <v>1</v>
      </c>
      <c r="B34" s="13" t="s">
        <v>42</v>
      </c>
      <c r="C34" s="14">
        <f>2570000000+73800000</f>
        <v>2643800000</v>
      </c>
      <c r="D34" s="14">
        <v>2567000000</v>
      </c>
      <c r="E34" s="26">
        <v>244425172</v>
      </c>
      <c r="F34" s="14">
        <f t="shared" ref="F34:F69" si="1">ROUND((D34+E34-C34),-6)</f>
        <v>168000000</v>
      </c>
      <c r="G34" s="15"/>
      <c r="H34" s="28"/>
    </row>
    <row r="35" spans="1:8" s="17" customFormat="1" ht="15" x14ac:dyDescent="0.25">
      <c r="A35" s="12">
        <v>2</v>
      </c>
      <c r="B35" s="13" t="s">
        <v>43</v>
      </c>
      <c r="C35" s="14">
        <f>3310000000+46900000</f>
        <v>3356900000</v>
      </c>
      <c r="D35" s="14">
        <v>3113000000</v>
      </c>
      <c r="E35" s="26">
        <v>2362633</v>
      </c>
      <c r="F35" s="14"/>
      <c r="G35" s="15">
        <f>ROUND((C35-D35-E35),-6)</f>
        <v>242000000</v>
      </c>
      <c r="H35" s="28"/>
    </row>
    <row r="36" spans="1:8" s="17" customFormat="1" ht="15" x14ac:dyDescent="0.25">
      <c r="A36" s="12">
        <v>3</v>
      </c>
      <c r="B36" s="13" t="s">
        <v>44</v>
      </c>
      <c r="C36" s="14">
        <f>4220000000+55000000</f>
        <v>4275000000</v>
      </c>
      <c r="D36" s="14">
        <v>4050000000</v>
      </c>
      <c r="E36" s="26">
        <v>55519673</v>
      </c>
      <c r="F36" s="14"/>
      <c r="G36" s="15">
        <f>ROUND((C36-D36-E36),-6)</f>
        <v>169000000</v>
      </c>
      <c r="H36" s="28"/>
    </row>
    <row r="37" spans="1:8" s="17" customFormat="1" ht="15" x14ac:dyDescent="0.25">
      <c r="A37" s="12">
        <v>4</v>
      </c>
      <c r="B37" s="13" t="s">
        <v>45</v>
      </c>
      <c r="C37" s="14">
        <f>3460000000+72600000</f>
        <v>3532600000</v>
      </c>
      <c r="D37" s="14">
        <v>3426000000</v>
      </c>
      <c r="E37" s="26">
        <v>60000000</v>
      </c>
      <c r="F37" s="14"/>
      <c r="G37" s="15">
        <f>ROUND((C37-D37-E37),-6)</f>
        <v>47000000</v>
      </c>
      <c r="H37" s="28"/>
    </row>
    <row r="38" spans="1:8" s="23" customFormat="1" ht="15" x14ac:dyDescent="0.25">
      <c r="A38" s="18">
        <v>5</v>
      </c>
      <c r="B38" s="19" t="s">
        <v>46</v>
      </c>
      <c r="C38" s="20">
        <f>3433000000-16000000</f>
        <v>3417000000</v>
      </c>
      <c r="D38" s="20">
        <v>3442000000</v>
      </c>
      <c r="E38" s="25"/>
      <c r="F38" s="20">
        <f>ROUND((D38+E38-C38),-6)</f>
        <v>25000000</v>
      </c>
      <c r="G38" s="21"/>
      <c r="H38" s="22"/>
    </row>
    <row r="39" spans="1:8" s="17" customFormat="1" ht="15" x14ac:dyDescent="0.25">
      <c r="A39" s="12">
        <v>6</v>
      </c>
      <c r="B39" s="13" t="s">
        <v>47</v>
      </c>
      <c r="C39" s="14">
        <f>2808000000+65800000</f>
        <v>2873800000</v>
      </c>
      <c r="D39" s="14">
        <v>2723000000</v>
      </c>
      <c r="E39" s="26">
        <v>110178000</v>
      </c>
      <c r="F39" s="14"/>
      <c r="G39" s="15">
        <f>ROUND((C39-D39-E39),-6)</f>
        <v>41000000</v>
      </c>
      <c r="H39" s="28"/>
    </row>
    <row r="40" spans="1:8" s="23" customFormat="1" ht="15" x14ac:dyDescent="0.25">
      <c r="A40" s="18">
        <v>7</v>
      </c>
      <c r="B40" s="19" t="s">
        <v>48</v>
      </c>
      <c r="C40" s="20">
        <f>3441000000+38300000</f>
        <v>3479300000</v>
      </c>
      <c r="D40" s="20">
        <v>3330000000</v>
      </c>
      <c r="E40" s="25">
        <v>70881719</v>
      </c>
      <c r="F40" s="20"/>
      <c r="G40" s="21">
        <f>ROUND((C40-D40-E40),-6)</f>
        <v>78000000</v>
      </c>
      <c r="H40" s="22"/>
    </row>
    <row r="41" spans="1:8" s="23" customFormat="1" ht="15" x14ac:dyDescent="0.25">
      <c r="A41" s="18">
        <v>8</v>
      </c>
      <c r="B41" s="19" t="s">
        <v>49</v>
      </c>
      <c r="C41" s="20">
        <f>2493000000+43450000</f>
        <v>2536450000</v>
      </c>
      <c r="D41" s="20">
        <v>2507000000</v>
      </c>
      <c r="E41" s="25">
        <v>5552546</v>
      </c>
      <c r="F41" s="20"/>
      <c r="G41" s="21">
        <f>ROUND((C41-D41-E41),-6)</f>
        <v>24000000</v>
      </c>
      <c r="H41" s="25"/>
    </row>
    <row r="42" spans="1:8" s="23" customFormat="1" ht="15" x14ac:dyDescent="0.25">
      <c r="A42" s="18">
        <v>9</v>
      </c>
      <c r="B42" s="19" t="s">
        <v>50</v>
      </c>
      <c r="C42" s="20">
        <f>3501000000+31000000+30000000</f>
        <v>3562000000</v>
      </c>
      <c r="D42" s="20">
        <v>3509000000</v>
      </c>
      <c r="E42" s="25"/>
      <c r="F42" s="20"/>
      <c r="G42" s="15">
        <f>ROUND((C42-D42-E42),-6)</f>
        <v>53000000</v>
      </c>
      <c r="H42" s="28"/>
    </row>
    <row r="43" spans="1:8" s="17" customFormat="1" ht="15" x14ac:dyDescent="0.25">
      <c r="A43" s="12">
        <v>10</v>
      </c>
      <c r="B43" s="13" t="s">
        <v>51</v>
      </c>
      <c r="C43" s="14">
        <f>2427000000+42700000</f>
        <v>2469700000</v>
      </c>
      <c r="D43" s="14">
        <v>2417000000</v>
      </c>
      <c r="E43" s="26">
        <v>90000000</v>
      </c>
      <c r="F43" s="14">
        <f t="shared" si="1"/>
        <v>37000000</v>
      </c>
      <c r="G43" s="15"/>
      <c r="H43" s="22"/>
    </row>
    <row r="44" spans="1:8" s="17" customFormat="1" ht="15" x14ac:dyDescent="0.25">
      <c r="A44" s="12">
        <v>11</v>
      </c>
      <c r="B44" s="13" t="s">
        <v>52</v>
      </c>
      <c r="C44" s="14">
        <f>5388000000+24000000+57500000</f>
        <v>5469500000</v>
      </c>
      <c r="D44" s="14">
        <v>5188000000</v>
      </c>
      <c r="E44" s="26">
        <v>68274199</v>
      </c>
      <c r="F44" s="14"/>
      <c r="G44" s="15">
        <f>ROUND((C44-D44-E44),-6)</f>
        <v>213000000</v>
      </c>
      <c r="H44" s="28"/>
    </row>
    <row r="45" spans="1:8" s="17" customFormat="1" ht="15" x14ac:dyDescent="0.25">
      <c r="A45" s="12">
        <v>12</v>
      </c>
      <c r="B45" s="13" t="s">
        <v>53</v>
      </c>
      <c r="C45" s="14">
        <f>4871000000+106600000</f>
        <v>4977600000</v>
      </c>
      <c r="D45" s="14">
        <v>4949000000</v>
      </c>
      <c r="E45" s="26">
        <v>208409645</v>
      </c>
      <c r="F45" s="14">
        <f t="shared" si="1"/>
        <v>180000000</v>
      </c>
      <c r="G45" s="15"/>
      <c r="H45" s="28"/>
    </row>
    <row r="46" spans="1:8" s="17" customFormat="1" ht="15" x14ac:dyDescent="0.25">
      <c r="A46" s="12">
        <v>13</v>
      </c>
      <c r="B46" s="13" t="s">
        <v>54</v>
      </c>
      <c r="C46" s="14">
        <f>1965000000+55000000</f>
        <v>2020000000</v>
      </c>
      <c r="D46" s="14">
        <v>1940000000</v>
      </c>
      <c r="E46" s="26">
        <v>150499041</v>
      </c>
      <c r="F46" s="14">
        <f t="shared" si="1"/>
        <v>70000000</v>
      </c>
      <c r="G46" s="15"/>
      <c r="H46" s="28"/>
    </row>
    <row r="47" spans="1:8" s="23" customFormat="1" ht="15" x14ac:dyDescent="0.25">
      <c r="A47" s="18">
        <v>14</v>
      </c>
      <c r="B47" s="19" t="s">
        <v>55</v>
      </c>
      <c r="C47" s="20">
        <f>1747000000+46700000</f>
        <v>1793700000</v>
      </c>
      <c r="D47" s="20">
        <v>1679000000</v>
      </c>
      <c r="E47" s="25">
        <v>109655791</v>
      </c>
      <c r="F47" s="20"/>
      <c r="G47" s="15">
        <f>ROUND((C47-D47-E47),-6)</f>
        <v>5000000</v>
      </c>
      <c r="H47" s="22"/>
    </row>
    <row r="48" spans="1:8" s="17" customFormat="1" ht="15" x14ac:dyDescent="0.25">
      <c r="A48" s="12">
        <v>15</v>
      </c>
      <c r="B48" s="13" t="s">
        <v>56</v>
      </c>
      <c r="C48" s="14">
        <f>1888000000+21800000</f>
        <v>1909800000</v>
      </c>
      <c r="D48" s="14">
        <v>1857000000</v>
      </c>
      <c r="E48" s="24">
        <v>31699540</v>
      </c>
      <c r="F48" s="14"/>
      <c r="G48" s="15">
        <f>ROUND((C48-D48-E48),-6)</f>
        <v>21000000</v>
      </c>
      <c r="H48" s="28"/>
    </row>
    <row r="49" spans="1:8" s="23" customFormat="1" ht="15" x14ac:dyDescent="0.25">
      <c r="A49" s="18">
        <v>16</v>
      </c>
      <c r="B49" s="19" t="s">
        <v>57</v>
      </c>
      <c r="C49" s="20">
        <f>5071000000+15900000+24500000+20800000</f>
        <v>5132200000</v>
      </c>
      <c r="D49" s="20">
        <v>5211000000</v>
      </c>
      <c r="E49" s="25">
        <v>147690434</v>
      </c>
      <c r="F49" s="20">
        <f t="shared" si="1"/>
        <v>226000000</v>
      </c>
      <c r="G49" s="21"/>
      <c r="H49" s="22"/>
    </row>
    <row r="50" spans="1:8" s="17" customFormat="1" ht="15" x14ac:dyDescent="0.25">
      <c r="A50" s="12">
        <v>17</v>
      </c>
      <c r="B50" s="13" t="s">
        <v>58</v>
      </c>
      <c r="C50" s="14">
        <f>2669000000+72500000</f>
        <v>2741500000</v>
      </c>
      <c r="D50" s="14">
        <v>2599000000</v>
      </c>
      <c r="E50" s="26">
        <v>69895768</v>
      </c>
      <c r="F50" s="14"/>
      <c r="G50" s="15">
        <f>ROUND((C50-D50-E50),-6)</f>
        <v>73000000</v>
      </c>
      <c r="H50" s="28"/>
    </row>
    <row r="51" spans="1:8" s="17" customFormat="1" ht="15" x14ac:dyDescent="0.25">
      <c r="A51" s="12">
        <v>18</v>
      </c>
      <c r="B51" s="13" t="s">
        <v>59</v>
      </c>
      <c r="C51" s="14">
        <f>3572000000+98800000</f>
        <v>3670800000</v>
      </c>
      <c r="D51" s="14">
        <v>3560000000</v>
      </c>
      <c r="E51" s="26">
        <v>40</v>
      </c>
      <c r="F51" s="14"/>
      <c r="G51" s="15">
        <f>ROUND((C51-D51-E51),-6)</f>
        <v>111000000</v>
      </c>
      <c r="H51" s="28"/>
    </row>
    <row r="52" spans="1:8" s="23" customFormat="1" ht="15" x14ac:dyDescent="0.25">
      <c r="A52" s="18">
        <v>19</v>
      </c>
      <c r="B52" s="19" t="s">
        <v>60</v>
      </c>
      <c r="C52" s="20">
        <f>3760000000+24700000</f>
        <v>3784700000</v>
      </c>
      <c r="D52" s="20">
        <v>3905000000</v>
      </c>
      <c r="E52" s="25">
        <v>146819438</v>
      </c>
      <c r="F52" s="20">
        <f t="shared" si="1"/>
        <v>267000000</v>
      </c>
      <c r="G52" s="21"/>
      <c r="H52" s="22"/>
    </row>
    <row r="53" spans="1:8" s="17" customFormat="1" ht="15" x14ac:dyDescent="0.25">
      <c r="A53" s="12">
        <v>20</v>
      </c>
      <c r="B53" s="13" t="s">
        <v>61</v>
      </c>
      <c r="C53" s="14">
        <f>3643000000+30600000</f>
        <v>3673600000</v>
      </c>
      <c r="D53" s="14">
        <v>3583000000</v>
      </c>
      <c r="E53" s="26">
        <v>122620121</v>
      </c>
      <c r="F53" s="14">
        <f t="shared" si="1"/>
        <v>32000000</v>
      </c>
      <c r="G53" s="15"/>
      <c r="H53" s="28"/>
    </row>
    <row r="54" spans="1:8" s="8" customFormat="1" ht="28.5" x14ac:dyDescent="0.2">
      <c r="A54" s="29" t="s">
        <v>62</v>
      </c>
      <c r="B54" s="30" t="s">
        <v>63</v>
      </c>
      <c r="C54" s="6">
        <f>SUM(C55:C69)</f>
        <v>67535100000</v>
      </c>
      <c r="D54" s="6">
        <f>SUM(D55:D69)</f>
        <v>67120000000</v>
      </c>
      <c r="E54" s="6">
        <f>SUM(E55:E69)</f>
        <v>1571814812</v>
      </c>
      <c r="F54" s="6">
        <f>SUM(F55:F69)</f>
        <v>1320000000</v>
      </c>
      <c r="G54" s="6">
        <f>SUM(G55:G69)</f>
        <v>163000000</v>
      </c>
      <c r="H54" s="7"/>
    </row>
    <row r="55" spans="1:8" s="17" customFormat="1" ht="15" x14ac:dyDescent="0.25">
      <c r="A55" s="12">
        <v>1</v>
      </c>
      <c r="B55" s="13" t="s">
        <v>64</v>
      </c>
      <c r="C55" s="14">
        <f>3479000000+57900000</f>
        <v>3536900000</v>
      </c>
      <c r="D55" s="14">
        <v>3731000000</v>
      </c>
      <c r="E55" s="26">
        <v>21515298</v>
      </c>
      <c r="F55" s="14">
        <f t="shared" si="1"/>
        <v>216000000</v>
      </c>
      <c r="G55" s="15"/>
      <c r="H55" s="28"/>
    </row>
    <row r="56" spans="1:8" s="17" customFormat="1" ht="15" x14ac:dyDescent="0.25">
      <c r="A56" s="12">
        <v>2</v>
      </c>
      <c r="B56" s="13" t="s">
        <v>65</v>
      </c>
      <c r="C56" s="14">
        <f>3257000000+46900000</f>
        <v>3303900000</v>
      </c>
      <c r="D56" s="14">
        <v>3271000000</v>
      </c>
      <c r="E56" s="26">
        <v>45609771</v>
      </c>
      <c r="F56" s="14">
        <f>ROUND((D56+E56-C56),-6)</f>
        <v>13000000</v>
      </c>
      <c r="G56" s="15"/>
      <c r="H56" s="28"/>
    </row>
    <row r="57" spans="1:8" s="23" customFormat="1" ht="15" x14ac:dyDescent="0.25">
      <c r="A57" s="18">
        <v>3</v>
      </c>
      <c r="B57" s="19" t="s">
        <v>66</v>
      </c>
      <c r="C57" s="20">
        <f>3951000000+25500000</f>
        <v>3976500000</v>
      </c>
      <c r="D57" s="20">
        <v>4030000000</v>
      </c>
      <c r="E57" s="25">
        <v>24289493</v>
      </c>
      <c r="F57" s="20">
        <f>ROUND((D57+E57-C57),-6)</f>
        <v>78000000</v>
      </c>
      <c r="G57" s="21"/>
      <c r="H57" s="22"/>
    </row>
    <row r="58" spans="1:8" s="8" customFormat="1" ht="15" x14ac:dyDescent="0.25">
      <c r="A58" s="12">
        <v>4</v>
      </c>
      <c r="B58" s="13" t="s">
        <v>67</v>
      </c>
      <c r="C58" s="26">
        <f>5282000000+16100000</f>
        <v>5298100000</v>
      </c>
      <c r="D58" s="26">
        <v>5353000000</v>
      </c>
      <c r="E58" s="26">
        <v>36956053</v>
      </c>
      <c r="F58" s="14">
        <f>ROUND((D58+E58-C58),-6)</f>
        <v>92000000</v>
      </c>
      <c r="G58" s="15"/>
      <c r="H58" s="7"/>
    </row>
    <row r="59" spans="1:8" s="17" customFormat="1" ht="15" x14ac:dyDescent="0.25">
      <c r="A59" s="12">
        <v>5</v>
      </c>
      <c r="B59" s="13" t="s">
        <v>68</v>
      </c>
      <c r="C59" s="14">
        <f>5789000000+26700000</f>
        <v>5815700000</v>
      </c>
      <c r="D59" s="14">
        <v>5859000000</v>
      </c>
      <c r="E59" s="32">
        <v>39870000</v>
      </c>
      <c r="F59" s="14">
        <f t="shared" si="1"/>
        <v>83000000</v>
      </c>
      <c r="G59" s="15"/>
      <c r="H59" s="28"/>
    </row>
    <row r="60" spans="1:8" s="17" customFormat="1" ht="15" x14ac:dyDescent="0.25">
      <c r="A60" s="12">
        <v>6</v>
      </c>
      <c r="B60" s="13" t="s">
        <v>69</v>
      </c>
      <c r="C60" s="14">
        <f>6053000000+55800000</f>
        <v>6108800000</v>
      </c>
      <c r="D60" s="14">
        <v>6039000000</v>
      </c>
      <c r="E60" s="32">
        <v>64409762</v>
      </c>
      <c r="F60" s="14"/>
      <c r="G60" s="15">
        <f>ROUND((C60-D60-E60),-6)</f>
        <v>5000000</v>
      </c>
      <c r="H60" s="28"/>
    </row>
    <row r="61" spans="1:8" s="17" customFormat="1" ht="30" x14ac:dyDescent="0.25">
      <c r="A61" s="12">
        <v>7</v>
      </c>
      <c r="B61" s="13" t="s">
        <v>70</v>
      </c>
      <c r="C61" s="14">
        <f>5116000000+35200000</f>
        <v>5151200000</v>
      </c>
      <c r="D61" s="14">
        <v>5181000000</v>
      </c>
      <c r="E61" s="26">
        <v>4597439</v>
      </c>
      <c r="F61" s="14">
        <f t="shared" si="1"/>
        <v>34000000</v>
      </c>
      <c r="G61" s="15"/>
      <c r="H61" s="28"/>
    </row>
    <row r="62" spans="1:8" s="17" customFormat="1" ht="15" x14ac:dyDescent="0.25">
      <c r="A62" s="12">
        <v>8</v>
      </c>
      <c r="B62" s="13" t="s">
        <v>71</v>
      </c>
      <c r="C62" s="14">
        <f>3872000000</f>
        <v>3872000000</v>
      </c>
      <c r="D62" s="14">
        <v>3802000000</v>
      </c>
      <c r="E62" s="26">
        <v>4782853</v>
      </c>
      <c r="F62" s="14"/>
      <c r="G62" s="15">
        <f>ROUND((C62-D62-E62),-6)</f>
        <v>65000000</v>
      </c>
      <c r="H62" s="28"/>
    </row>
    <row r="63" spans="1:8" s="17" customFormat="1" ht="15" x14ac:dyDescent="0.25">
      <c r="A63" s="12">
        <v>9</v>
      </c>
      <c r="B63" s="13" t="s">
        <v>72</v>
      </c>
      <c r="C63" s="14">
        <f>4019000000+18000000+60000000</f>
        <v>4097000000</v>
      </c>
      <c r="D63" s="14">
        <v>4009000000</v>
      </c>
      <c r="E63" s="26">
        <f>203251729</f>
        <v>203251729</v>
      </c>
      <c r="F63" s="14">
        <f t="shared" si="1"/>
        <v>115000000</v>
      </c>
      <c r="G63" s="15"/>
      <c r="H63" s="28"/>
    </row>
    <row r="64" spans="1:8" s="17" customFormat="1" ht="30" x14ac:dyDescent="0.25">
      <c r="A64" s="12">
        <v>10</v>
      </c>
      <c r="B64" s="13" t="s">
        <v>73</v>
      </c>
      <c r="C64" s="14">
        <f>4236000000+40000000</f>
        <v>4276000000</v>
      </c>
      <c r="D64" s="14">
        <v>4154000000</v>
      </c>
      <c r="E64" s="26">
        <v>167273644</v>
      </c>
      <c r="F64" s="14">
        <f t="shared" si="1"/>
        <v>45000000</v>
      </c>
      <c r="G64" s="15"/>
      <c r="H64" s="28"/>
    </row>
    <row r="65" spans="1:8" s="17" customFormat="1" ht="30" x14ac:dyDescent="0.25">
      <c r="A65" s="12">
        <v>11</v>
      </c>
      <c r="B65" s="13" t="s">
        <v>74</v>
      </c>
      <c r="C65" s="14">
        <f>5297000000+40100000+15200000</f>
        <v>5352300000</v>
      </c>
      <c r="D65" s="14">
        <f>2957000000+2327000000</f>
        <v>5284000000</v>
      </c>
      <c r="E65" s="26">
        <f>90613661+100094129</f>
        <v>190707790</v>
      </c>
      <c r="F65" s="14">
        <f t="shared" si="1"/>
        <v>122000000</v>
      </c>
      <c r="G65" s="15"/>
      <c r="H65" s="28"/>
    </row>
    <row r="66" spans="1:8" s="17" customFormat="1" ht="15" x14ac:dyDescent="0.25">
      <c r="A66" s="12">
        <v>12</v>
      </c>
      <c r="B66" s="13" t="s">
        <v>75</v>
      </c>
      <c r="C66" s="14">
        <f>3233000000+22800000</f>
        <v>3255800000</v>
      </c>
      <c r="D66" s="14">
        <v>3213000000</v>
      </c>
      <c r="E66" s="26">
        <v>177561459</v>
      </c>
      <c r="F66" s="14">
        <f t="shared" si="1"/>
        <v>135000000</v>
      </c>
      <c r="G66" s="15"/>
      <c r="H66" s="28"/>
    </row>
    <row r="67" spans="1:8" s="17" customFormat="1" ht="30" x14ac:dyDescent="0.25">
      <c r="A67" s="12">
        <v>13</v>
      </c>
      <c r="B67" s="13" t="s">
        <v>76</v>
      </c>
      <c r="C67" s="14">
        <f>2452000000+1999000000+2238000000+103600000+60700000</f>
        <v>6853300000</v>
      </c>
      <c r="D67" s="14">
        <f>3001000000+3687000000</f>
        <v>6688000000</v>
      </c>
      <c r="E67" s="26">
        <f>274984843+237000934</f>
        <v>511985777</v>
      </c>
      <c r="F67" s="14">
        <f t="shared" si="1"/>
        <v>347000000</v>
      </c>
      <c r="G67" s="15"/>
      <c r="H67" s="28"/>
    </row>
    <row r="68" spans="1:8" s="17" customFormat="1" ht="15" x14ac:dyDescent="0.25">
      <c r="A68" s="29">
        <v>14</v>
      </c>
      <c r="B68" s="30" t="s">
        <v>77</v>
      </c>
      <c r="C68" s="6">
        <f>3637000000+17600000</f>
        <v>3654600000</v>
      </c>
      <c r="D68" s="6">
        <v>3562000000</v>
      </c>
      <c r="E68" s="31"/>
      <c r="F68" s="6"/>
      <c r="G68" s="40">
        <f>ROUND((C68-D68-E68),-6)</f>
        <v>93000000</v>
      </c>
      <c r="H68" s="28"/>
    </row>
    <row r="69" spans="1:8" s="17" customFormat="1" ht="15" x14ac:dyDescent="0.25">
      <c r="A69" s="12">
        <v>15</v>
      </c>
      <c r="B69" s="13" t="s">
        <v>78</v>
      </c>
      <c r="C69" s="14">
        <f>2956000000+27000000</f>
        <v>2983000000</v>
      </c>
      <c r="D69" s="14">
        <v>2944000000</v>
      </c>
      <c r="E69" s="26">
        <v>79003744</v>
      </c>
      <c r="F69" s="14">
        <f t="shared" si="1"/>
        <v>40000000</v>
      </c>
      <c r="G69" s="15"/>
      <c r="H69" s="28"/>
    </row>
    <row r="70" spans="1:8" x14ac:dyDescent="0.25">
      <c r="A70" s="33"/>
    </row>
    <row r="71" spans="1:8" x14ac:dyDescent="0.25">
      <c r="G71" s="1"/>
    </row>
  </sheetData>
  <mergeCells count="10">
    <mergeCell ref="A6:B6"/>
    <mergeCell ref="A1:H1"/>
    <mergeCell ref="A2:H2"/>
    <mergeCell ref="A4:A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2020-12-10T07:50:27Z</dcterms:modified>
</cp:coreProperties>
</file>